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kamzabek\Downloads\"/>
    </mc:Choice>
  </mc:AlternateContent>
  <xr:revisionPtr revIDLastSave="0" documentId="13_ncr:1_{9FEC718E-58DC-43EC-BC7D-B03A1A3EAFB6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EF" sheetId="6" r:id="rId1"/>
  </sheets>
  <calcPr calcId="191029"/>
</workbook>
</file>

<file path=xl/calcChain.xml><?xml version="1.0" encoding="utf-8"?>
<calcChain xmlns="http://schemas.openxmlformats.org/spreadsheetml/2006/main">
  <c r="G46" i="6" l="1"/>
  <c r="N32" i="6" s="1"/>
  <c r="N43" i="6" l="1"/>
  <c r="N25" i="6"/>
  <c r="N36" i="6"/>
  <c r="N26" i="6"/>
  <c r="N41" i="6"/>
  <c r="N35" i="6"/>
  <c r="N29" i="6"/>
  <c r="N40" i="6"/>
  <c r="N28" i="6"/>
  <c r="N45" i="6"/>
  <c r="N39" i="6"/>
  <c r="N33" i="6"/>
  <c r="N37" i="6"/>
  <c r="N31" i="6"/>
  <c r="N42" i="6"/>
  <c r="N30" i="6"/>
  <c r="N27" i="6"/>
  <c r="N34" i="6"/>
  <c r="N44" i="6"/>
  <c r="N38" i="6"/>
  <c r="I25" i="6"/>
  <c r="N46" i="6" l="1"/>
  <c r="H25" i="6" s="1"/>
  <c r="L25" i="6" s="1"/>
  <c r="G47" i="6"/>
  <c r="H27" i="6" l="1"/>
  <c r="L27" i="6" s="1"/>
  <c r="H30" i="6"/>
  <c r="M30" i="6" s="1"/>
  <c r="H39" i="6"/>
  <c r="M39" i="6" s="1"/>
  <c r="H42" i="6"/>
  <c r="M42" i="6" s="1"/>
  <c r="H36" i="6"/>
  <c r="M36" i="6" s="1"/>
  <c r="H29" i="6"/>
  <c r="M29" i="6" s="1"/>
  <c r="H35" i="6"/>
  <c r="H37" i="6"/>
  <c r="M37" i="6" s="1"/>
  <c r="H38" i="6"/>
  <c r="M38" i="6" s="1"/>
  <c r="H40" i="6"/>
  <c r="M40" i="6" s="1"/>
  <c r="H28" i="6"/>
  <c r="L28" i="6" s="1"/>
  <c r="H45" i="6"/>
  <c r="H31" i="6"/>
  <c r="L31" i="6" s="1"/>
  <c r="H33" i="6"/>
  <c r="M33" i="6" s="1"/>
  <c r="H32" i="6"/>
  <c r="L32" i="6" s="1"/>
  <c r="H41" i="6"/>
  <c r="M41" i="6" s="1"/>
  <c r="H34" i="6"/>
  <c r="M34" i="6" s="1"/>
  <c r="H43" i="6"/>
  <c r="M43" i="6" s="1"/>
  <c r="H44" i="6"/>
  <c r="M44" i="6" s="1"/>
  <c r="H26" i="6"/>
  <c r="L26" i="6" s="1"/>
  <c r="I29" i="6"/>
  <c r="L39" i="6"/>
  <c r="L40" i="6"/>
  <c r="M35" i="6"/>
  <c r="L37" i="6" l="1"/>
  <c r="L42" i="6"/>
  <c r="M27" i="6"/>
  <c r="L33" i="6"/>
  <c r="L34" i="6"/>
  <c r="H47" i="6"/>
  <c r="C55" i="6"/>
  <c r="C56" i="6" s="1"/>
  <c r="C58" i="6"/>
  <c r="M45" i="6"/>
  <c r="L36" i="6"/>
  <c r="M31" i="6"/>
  <c r="L45" i="6"/>
  <c r="L30" i="6"/>
  <c r="L29" i="6"/>
  <c r="L38" i="6"/>
  <c r="L35" i="6"/>
  <c r="M25" i="6"/>
  <c r="M32" i="6"/>
  <c r="M26" i="6"/>
  <c r="L41" i="6"/>
  <c r="L43" i="6"/>
  <c r="L44" i="6"/>
  <c r="M28" i="6"/>
  <c r="M46" i="6" l="1"/>
  <c r="L46" i="6"/>
  <c r="C49" i="6" l="1"/>
  <c r="C50" i="6" s="1"/>
  <c r="C52" i="6" l="1"/>
  <c r="C60" i="6" s="1"/>
  <c r="C53" i="6" l="1"/>
</calcChain>
</file>

<file path=xl/sharedStrings.xml><?xml version="1.0" encoding="utf-8"?>
<sst xmlns="http://schemas.openxmlformats.org/spreadsheetml/2006/main" count="99" uniqueCount="98">
  <si>
    <t>CO2</t>
  </si>
  <si>
    <t>N2</t>
  </si>
  <si>
    <t>Метан</t>
  </si>
  <si>
    <t>Этан</t>
  </si>
  <si>
    <t>Пропан</t>
  </si>
  <si>
    <t>Азот</t>
  </si>
  <si>
    <t>Хим. Формула</t>
  </si>
  <si>
    <t>CO</t>
  </si>
  <si>
    <t>H2</t>
  </si>
  <si>
    <t>1.</t>
  </si>
  <si>
    <t>2.</t>
  </si>
  <si>
    <t>O2</t>
  </si>
  <si>
    <t>H2S</t>
  </si>
  <si>
    <t>CH4</t>
  </si>
  <si>
    <t>C3H8</t>
  </si>
  <si>
    <t>C2H6</t>
  </si>
  <si>
    <t>Гелий</t>
  </si>
  <si>
    <t>Аргон</t>
  </si>
  <si>
    <t>He</t>
  </si>
  <si>
    <t>Ar</t>
  </si>
  <si>
    <t>н-Бутан</t>
  </si>
  <si>
    <t>н-Гексан</t>
  </si>
  <si>
    <t>н-Пентан</t>
  </si>
  <si>
    <t>н-Гептан</t>
  </si>
  <si>
    <t>н-Октан</t>
  </si>
  <si>
    <t>н-Нонан</t>
  </si>
  <si>
    <t>н-Декан</t>
  </si>
  <si>
    <t>i-C4H10</t>
  </si>
  <si>
    <t>n-C4H10</t>
  </si>
  <si>
    <t>i-C5H12</t>
  </si>
  <si>
    <t>n-C5H12</t>
  </si>
  <si>
    <t>n-C6H14</t>
  </si>
  <si>
    <t>n-C7H16</t>
  </si>
  <si>
    <t>n-C8H18</t>
  </si>
  <si>
    <t>n-C9H20</t>
  </si>
  <si>
    <t>n-C10H22</t>
  </si>
  <si>
    <t>n*Xm*AW c</t>
  </si>
  <si>
    <t>Xm*MW</t>
  </si>
  <si>
    <t>3.</t>
  </si>
  <si>
    <t>4.</t>
  </si>
  <si>
    <t>5.</t>
  </si>
  <si>
    <t>6.</t>
  </si>
  <si>
    <t>7.</t>
  </si>
  <si>
    <t>0.</t>
  </si>
  <si>
    <t>8.</t>
  </si>
  <si>
    <t>9.</t>
  </si>
  <si>
    <t>10.</t>
  </si>
  <si>
    <t>11.</t>
  </si>
  <si>
    <t>А.</t>
  </si>
  <si>
    <t>B.</t>
  </si>
  <si>
    <t>С.</t>
  </si>
  <si>
    <t>D.</t>
  </si>
  <si>
    <t>12.</t>
  </si>
  <si>
    <t>E.</t>
  </si>
  <si>
    <t>Құрамында көмірсутегі бар газдарды жағу кезінде көмірқышқыл газының шығарындылар коэффициентін есептеу</t>
  </si>
  <si>
    <t>Қондырғы операторының атауы</t>
  </si>
  <si>
    <t>Газ атауы</t>
  </si>
  <si>
    <t>Газ шығарындылары көзінің атауы</t>
  </si>
  <si>
    <t>Шығарындылар көзінің орналасқан жері, нөмірі, тіркеу деректері және т. б.</t>
  </si>
  <si>
    <t>Күні және бастапқы деректері бар құжатқа сілтеме</t>
  </si>
  <si>
    <t>Жағу түрі</t>
  </si>
  <si>
    <t>жалындатып</t>
  </si>
  <si>
    <t xml:space="preserve"> пештер, жылугенераторлар және т.б.</t>
  </si>
  <si>
    <t>егер жалындатып жағу қолданылса жоғарғы жақтағы жасыл ұяшыққа санды теріңіз</t>
  </si>
  <si>
    <t>егер мамандандырылған агрегатта жану қолданылса жоғарғы жақтағы жасыл ұяшыққа санды теріңіз</t>
  </si>
  <si>
    <t>Газдың немесе қоспаның тығыздығы (t=20 C және P=101325 Pa кезінде), кг/м3</t>
  </si>
  <si>
    <t>Газдың компоненттік құрамы (толық)</t>
  </si>
  <si>
    <t>Компонент</t>
  </si>
  <si>
    <t>Компоненттердің жануының идеалды төменгі молярлық жылуы (t=20 C және P=101325 Pa кезінде), кДж/моль</t>
  </si>
  <si>
    <t>Сығылу коэффициенті Z (t=20 C және P=101325 Pa кезінде)</t>
  </si>
  <si>
    <t>Қосу коэффициенттері (t=20 C және P=101325 Pa кезінде)</t>
  </si>
  <si>
    <t>Газдың көлемдік үлестері (t=20 C және P=101325 Pa кезінде)</t>
  </si>
  <si>
    <t>Газдың молярлық үлесі (Xm), %</t>
  </si>
  <si>
    <t>Молекулалық салмақ (MW)</t>
  </si>
  <si>
    <t>Көміртек атомдарының саны (n)</t>
  </si>
  <si>
    <t>Көміртектің атомдық салмағы (AWc)</t>
  </si>
  <si>
    <t>БАРЛЫҒЫ</t>
  </si>
  <si>
    <t>Оттегі</t>
  </si>
  <si>
    <t>Көмірқышқыл газы</t>
  </si>
  <si>
    <t>Күкіртсутек</t>
  </si>
  <si>
    <t>Сутегі</t>
  </si>
  <si>
    <t>Көміртек оксиді</t>
  </si>
  <si>
    <t>изоБутан</t>
  </si>
  <si>
    <t>изоПентан</t>
  </si>
  <si>
    <t>Анықталмайтын компоненттер (Этан негізінде консервативті түрде қабылданады )</t>
  </si>
  <si>
    <t>ТЕКСЕРУ (Қосынды=1)</t>
  </si>
  <si>
    <t>Газдағы тотығатын көміртектің массалық үлесі, кг С/кг газ</t>
  </si>
  <si>
    <t>Газдағы көміртектің көлемдік үлесі, т С/1000 м3</t>
  </si>
  <si>
    <t>Тотығу коэффициенті (0,995 - алау, 1 - пеш және т. б.)</t>
  </si>
  <si>
    <t>Жағу кезіндегі көмірқышқыл газының шығарылу коэффициенті, т СО2/1000м3</t>
  </si>
  <si>
    <t>Жағу кезіндегі көмірқышқыл газының шығарылу коэффициенті, т СО2/т газ</t>
  </si>
  <si>
    <t>Қоспаның идеалды төменгі молярлық жану жылуы, кДж/моль (t=20 C және P=101325 Pa кезінде)</t>
  </si>
  <si>
    <t>Қоспаның ең төменгі көлемдік жану жылуы, МДж/м3 (t=20 C және P=101325 Pa кезінде)</t>
  </si>
  <si>
    <t>Қоспаның сығылу коэффициенті (t=20 C және P=101325 Pa кезінде)</t>
  </si>
  <si>
    <t>Нақты газ қоспасының жану көлемінің төмен жылуы, МДж/м3 (t=20 C және P=101325 Pa кезінде)</t>
  </si>
  <si>
    <t>Жағу кезіндегі көмірқышқыл газының шығарылу коэффициенті, т СО2/ТДж</t>
  </si>
  <si>
    <t xml:space="preserve">толтыруға арналған орын - </t>
  </si>
  <si>
    <t xml:space="preserve">егер жеке деректер болса, толтыруға арналған орын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</si>
</sst>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9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13"/>
        <bgColor indexed="64"/>
      </patternFill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4" borderId="4" applyNumberFormat="0" applyAlignment="0" applyProtection="0"/>
    <xf numFmtId="0" fontId="4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6" fillId="5" borderId="0" applyNumberFormat="0" applyBorder="0" applyAlignment="0" applyProtection="0"/>
    <xf numFmtId="0" fontId="7" fillId="6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5" fillId="0" borderId="0" xfId="4"/>
    <xf numFmtId="0" fontId="0" fillId="0" borderId="0" xfId="0" applyAlignment="1">
      <alignment horizontal="center" vertical="center" wrapText="1"/>
    </xf>
    <xf numFmtId="0" fontId="7" fillId="6" borderId="0" xfId="6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2" borderId="1" xfId="1" applyBorder="1" applyAlignment="1" applyProtection="1">
      <alignment horizontal="center" vertical="center"/>
      <protection locked="0"/>
    </xf>
    <xf numFmtId="0" fontId="4" fillId="0" borderId="2" xfId="3" applyBorder="1" applyAlignment="1">
      <alignment horizontal="center" vertical="center" wrapText="1"/>
    </xf>
    <xf numFmtId="0" fontId="4" fillId="0" borderId="2" xfId="3" applyBorder="1" applyAlignment="1" applyProtection="1">
      <alignment horizontal="center" vertical="center" wrapText="1"/>
    </xf>
    <xf numFmtId="16" fontId="0" fillId="0" borderId="2" xfId="0" applyNumberFormat="1" applyBorder="1"/>
    <xf numFmtId="0" fontId="0" fillId="0" borderId="2" xfId="0" applyBorder="1"/>
    <xf numFmtId="0" fontId="2" fillId="2" borderId="2" xfId="1" applyBorder="1" applyProtection="1">
      <protection locked="0"/>
    </xf>
    <xf numFmtId="0" fontId="0" fillId="0" borderId="2" xfId="0" applyBorder="1" applyAlignment="1">
      <alignment wrapText="1"/>
    </xf>
    <xf numFmtId="0" fontId="3" fillId="4" borderId="2" xfId="2" applyBorder="1" applyProtection="1"/>
    <xf numFmtId="0" fontId="4" fillId="0" borderId="0" xfId="3" applyBorder="1" applyAlignment="1" applyProtection="1">
      <alignment horizontal="center" vertical="center" wrapText="1"/>
    </xf>
    <xf numFmtId="0" fontId="4" fillId="0" borderId="0" xfId="3" applyBorder="1" applyAlignment="1">
      <alignment horizontal="center" vertical="center" wrapText="1"/>
    </xf>
    <xf numFmtId="164" fontId="2" fillId="2" borderId="1" xfId="1" applyNumberFormat="1" applyBorder="1" applyProtection="1">
      <protection locked="0"/>
    </xf>
    <xf numFmtId="0" fontId="0" fillId="0" borderId="0" xfId="0" applyAlignment="1">
      <alignment horizontal="right" wrapText="1"/>
    </xf>
    <xf numFmtId="0" fontId="6" fillId="3" borderId="0" xfId="5" applyFill="1"/>
    <xf numFmtId="0" fontId="2" fillId="0" borderId="1" xfId="1" applyFill="1" applyBorder="1" applyProtection="1">
      <protection locked="0"/>
    </xf>
    <xf numFmtId="164" fontId="3" fillId="4" borderId="3" xfId="2" applyNumberFormat="1" applyBorder="1"/>
    <xf numFmtId="164" fontId="3" fillId="4" borderId="4" xfId="2" applyNumberFormat="1"/>
    <xf numFmtId="165" fontId="0" fillId="3" borderId="0" xfId="0" applyNumberFormat="1" applyFill="1"/>
    <xf numFmtId="165" fontId="0" fillId="0" borderId="0" xfId="0" applyNumberFormat="1"/>
    <xf numFmtId="0" fontId="1" fillId="2" borderId="2" xfId="1" applyFont="1" applyBorder="1" applyProtection="1">
      <protection locked="0"/>
    </xf>
    <xf numFmtId="164" fontId="2" fillId="2" borderId="2" xfId="1" applyNumberFormat="1" applyBorder="1" applyProtection="1">
      <protection locked="0"/>
    </xf>
    <xf numFmtId="165" fontId="3" fillId="7" borderId="0" xfId="2" applyNumberFormat="1" applyFill="1" applyBorder="1"/>
    <xf numFmtId="165" fontId="3" fillId="4" borderId="2" xfId="2" applyNumberFormat="1" applyBorder="1"/>
    <xf numFmtId="0" fontId="8" fillId="8" borderId="6" xfId="0" applyFont="1" applyFill="1" applyBorder="1" applyAlignment="1">
      <alignment horizontal="right" vertical="center"/>
    </xf>
    <xf numFmtId="0" fontId="7" fillId="0" borderId="2" xfId="6" applyFill="1" applyBorder="1"/>
  </cellXfs>
  <cellStyles count="7">
    <cellStyle name="20% — акцент3" xfId="1" builtinId="38"/>
    <cellStyle name="Вывод" xfId="2" builtinId="21"/>
    <cellStyle name="Заголовок 3" xfId="3" builtinId="18"/>
    <cellStyle name="Название" xfId="4" builtinId="15"/>
    <cellStyle name="Нейтральный" xfId="5" builtinId="28"/>
    <cellStyle name="Обычный" xfId="0" builtinId="0"/>
    <cellStyle name="Хороший" xfId="6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53340</xdr:colOff>
      <xdr:row>0</xdr:row>
      <xdr:rowOff>95250</xdr:rowOff>
    </xdr:from>
    <xdr:to>
      <xdr:col>1</xdr:col>
      <xdr:colOff>2132542</xdr:colOff>
      <xdr:row>1</xdr:row>
      <xdr:rowOff>19050</xdr:rowOff>
    </xdr:to>
    <xdr:pic>
      <xdr:nvPicPr>
        <xdr:cNvPr id="1039" name="Рисунок 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21907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0"/>
  <sheetViews>
    <sheetView showGridLines="0" tabSelected="1" zoomScale="90" zoomScaleNormal="90" workbookViewId="0">
      <selection activeCell="B10" sqref="B10"/>
    </sheetView>
  </sheetViews>
  <sheetFormatPr defaultRowHeight="13.2" x14ac:dyDescent="0.25"/>
  <cols>
    <col min="1" max="1" width="2.44140625" customWidth="1"/>
    <col min="2" max="2" width="57.33203125" customWidth="1"/>
    <col min="3" max="3" width="19.33203125" customWidth="1"/>
    <col min="4" max="4" width="37.109375" customWidth="1"/>
    <col min="5" max="5" width="20.109375" customWidth="1"/>
    <col min="6" max="7" width="26.33203125" customWidth="1"/>
    <col min="8" max="8" width="17.6640625" customWidth="1"/>
    <col min="9" max="9" width="16.109375" customWidth="1"/>
    <col min="10" max="10" width="19.6640625" customWidth="1"/>
    <col min="11" max="11" width="15.88671875" customWidth="1"/>
    <col min="12" max="12" width="12.6640625" customWidth="1"/>
    <col min="13" max="13" width="9" customWidth="1"/>
    <col min="14" max="14" width="9.109375" hidden="1" customWidth="1"/>
  </cols>
  <sheetData>
    <row r="1" spans="1:7" ht="95.4" customHeight="1" x14ac:dyDescent="0.25"/>
    <row r="2" spans="1:7" ht="22.8" x14ac:dyDescent="0.4">
      <c r="A2" s="2" t="s">
        <v>54</v>
      </c>
    </row>
    <row r="3" spans="1:7" ht="16.2" customHeight="1" x14ac:dyDescent="0.4">
      <c r="A3" s="2"/>
    </row>
    <row r="4" spans="1:7" ht="14.4" x14ac:dyDescent="0.3">
      <c r="B4" s="5" t="s">
        <v>96</v>
      </c>
      <c r="C4" s="4"/>
    </row>
    <row r="5" spans="1:7" ht="14.4" x14ac:dyDescent="0.3">
      <c r="B5" s="5" t="s">
        <v>97</v>
      </c>
      <c r="C5" s="19"/>
    </row>
    <row r="6" spans="1:7" x14ac:dyDescent="0.25">
      <c r="B6" s="5"/>
    </row>
    <row r="7" spans="1:7" ht="14.4" x14ac:dyDescent="0.3">
      <c r="A7" t="s">
        <v>48</v>
      </c>
      <c r="B7" s="5" t="s">
        <v>55</v>
      </c>
      <c r="C7" s="30"/>
    </row>
    <row r="8" spans="1:7" ht="14.4" x14ac:dyDescent="0.3">
      <c r="A8" t="s">
        <v>49</v>
      </c>
      <c r="B8" s="5" t="s">
        <v>56</v>
      </c>
      <c r="C8" s="30"/>
    </row>
    <row r="9" spans="1:7" ht="14.4" x14ac:dyDescent="0.3">
      <c r="A9" t="s">
        <v>50</v>
      </c>
      <c r="B9" s="5" t="s">
        <v>57</v>
      </c>
      <c r="C9" s="30"/>
    </row>
    <row r="10" spans="1:7" ht="54" customHeight="1" x14ac:dyDescent="0.3">
      <c r="A10" t="s">
        <v>51</v>
      </c>
      <c r="B10" s="18" t="s">
        <v>58</v>
      </c>
      <c r="C10" s="30"/>
    </row>
    <row r="11" spans="1:7" ht="14.4" x14ac:dyDescent="0.3">
      <c r="A11" t="s">
        <v>53</v>
      </c>
      <c r="B11" s="5" t="s">
        <v>59</v>
      </c>
      <c r="C11" s="30"/>
    </row>
    <row r="12" spans="1:7" x14ac:dyDescent="0.25">
      <c r="B12" s="5"/>
    </row>
    <row r="13" spans="1:7" x14ac:dyDescent="0.25">
      <c r="B13" s="5"/>
    </row>
    <row r="14" spans="1:7" ht="13.8" thickBot="1" x14ac:dyDescent="0.3"/>
    <row r="15" spans="1:7" ht="15" thickBot="1" x14ac:dyDescent="0.3">
      <c r="A15" t="s">
        <v>43</v>
      </c>
      <c r="B15" t="s">
        <v>60</v>
      </c>
      <c r="C15" s="7"/>
    </row>
    <row r="16" spans="1:7" x14ac:dyDescent="0.25">
      <c r="B16" s="5" t="s">
        <v>61</v>
      </c>
      <c r="C16" s="6">
        <v>1</v>
      </c>
      <c r="D16" t="s">
        <v>63</v>
      </c>
      <c r="G16" s="6"/>
    </row>
    <row r="17" spans="1:19" x14ac:dyDescent="0.25">
      <c r="B17" s="5" t="s">
        <v>62</v>
      </c>
      <c r="C17" s="6">
        <v>2</v>
      </c>
      <c r="D17" t="s">
        <v>64</v>
      </c>
      <c r="G17" s="6"/>
    </row>
    <row r="19" spans="1:19" ht="13.8" thickBot="1" x14ac:dyDescent="0.3"/>
    <row r="20" spans="1:19" ht="27.6" thickBot="1" x14ac:dyDescent="0.35">
      <c r="A20" t="s">
        <v>9</v>
      </c>
      <c r="B20" s="1" t="s">
        <v>65</v>
      </c>
      <c r="C20" s="17"/>
    </row>
    <row r="22" spans="1:19" x14ac:dyDescent="0.25">
      <c r="A22" t="s">
        <v>10</v>
      </c>
      <c r="B22" t="s">
        <v>66</v>
      </c>
    </row>
    <row r="24" spans="1:19" s="3" customFormat="1" ht="60.6" customHeight="1" x14ac:dyDescent="0.25">
      <c r="A24" s="8"/>
      <c r="B24" s="8" t="s">
        <v>67</v>
      </c>
      <c r="C24" s="8" t="s">
        <v>6</v>
      </c>
      <c r="D24" s="8" t="s">
        <v>68</v>
      </c>
      <c r="E24" s="8" t="s">
        <v>69</v>
      </c>
      <c r="F24" s="8" t="s">
        <v>70</v>
      </c>
      <c r="G24" s="8" t="s">
        <v>71</v>
      </c>
      <c r="H24" s="8" t="s">
        <v>72</v>
      </c>
      <c r="I24" s="9" t="s">
        <v>73</v>
      </c>
      <c r="J24" s="9" t="s">
        <v>74</v>
      </c>
      <c r="K24" s="9" t="s">
        <v>75</v>
      </c>
      <c r="L24" s="9" t="s">
        <v>36</v>
      </c>
      <c r="M24" s="9" t="s">
        <v>37</v>
      </c>
      <c r="N24" s="15"/>
      <c r="O24" s="16"/>
      <c r="P24" s="16"/>
      <c r="Q24" s="16"/>
      <c r="R24" s="16"/>
      <c r="S24" s="16"/>
    </row>
    <row r="25" spans="1:19" ht="15" thickBot="1" x14ac:dyDescent="0.35">
      <c r="A25" s="10"/>
      <c r="B25" s="11" t="s">
        <v>77</v>
      </c>
      <c r="C25" s="11" t="s">
        <v>11</v>
      </c>
      <c r="D25" s="11">
        <v>0</v>
      </c>
      <c r="E25" s="11">
        <v>1</v>
      </c>
      <c r="F25" s="11">
        <v>2.6499999999999999E-2</v>
      </c>
      <c r="G25" s="12"/>
      <c r="H25" s="29" t="e">
        <f>(N25/$N$46)</f>
        <v>#DIV/0!</v>
      </c>
      <c r="I25" s="11">
        <f>15.9994*2</f>
        <v>31.998799999999999</v>
      </c>
      <c r="J25" s="11">
        <v>0</v>
      </c>
      <c r="K25" s="11">
        <v>12.0107</v>
      </c>
      <c r="L25" s="11" t="e">
        <f>J25*(H25/100)*K25</f>
        <v>#DIV/0!</v>
      </c>
      <c r="M25" s="11" t="e">
        <f>(H25/100)*I25</f>
        <v>#DIV/0!</v>
      </c>
      <c r="N25" t="b">
        <f>IF($G$46=1,IF(G25&gt;0,I25))</f>
        <v>0</v>
      </c>
    </row>
    <row r="26" spans="1:19" ht="15" thickBot="1" x14ac:dyDescent="0.35">
      <c r="A26" s="11"/>
      <c r="B26" s="11" t="s">
        <v>5</v>
      </c>
      <c r="C26" s="11" t="s">
        <v>1</v>
      </c>
      <c r="D26" s="11">
        <v>0</v>
      </c>
      <c r="E26" s="11">
        <v>0.99970000000000003</v>
      </c>
      <c r="F26" s="11">
        <v>1.7299999999999999E-2</v>
      </c>
      <c r="G26" s="25"/>
      <c r="H26" s="29" t="e">
        <f t="shared" ref="H26:H45" si="0">(N26/$N$46)</f>
        <v>#DIV/0!</v>
      </c>
      <c r="I26" s="11">
        <v>28.013400000000001</v>
      </c>
      <c r="J26" s="11">
        <v>0</v>
      </c>
      <c r="K26" s="11">
        <v>12.0107</v>
      </c>
      <c r="L26" s="11" t="e">
        <f>J26*(H26/100)*K26</f>
        <v>#DIV/0!</v>
      </c>
      <c r="M26" s="11" t="e">
        <f t="shared" ref="M26:M35" si="1">(H26/100)*I26</f>
        <v>#DIV/0!</v>
      </c>
      <c r="N26" t="b">
        <f>IF($G$46=1,IF(G26&gt;0,I26))</f>
        <v>0</v>
      </c>
    </row>
    <row r="27" spans="1:19" ht="15" thickBot="1" x14ac:dyDescent="0.35">
      <c r="A27" s="11"/>
      <c r="B27" s="11" t="s">
        <v>78</v>
      </c>
      <c r="C27" s="11" t="s">
        <v>0</v>
      </c>
      <c r="D27" s="11">
        <v>0</v>
      </c>
      <c r="E27" s="11">
        <v>0.99470000000000003</v>
      </c>
      <c r="F27" s="11">
        <v>7.2800000000000004E-2</v>
      </c>
      <c r="G27" s="12"/>
      <c r="H27" s="29" t="e">
        <f t="shared" si="0"/>
        <v>#DIV/0!</v>
      </c>
      <c r="I27" s="11">
        <v>44.009500000000003</v>
      </c>
      <c r="J27" s="11">
        <v>1</v>
      </c>
      <c r="K27" s="11">
        <v>12.0107</v>
      </c>
      <c r="L27" s="11" t="e">
        <f>J27*(H27/100)*K27</f>
        <v>#DIV/0!</v>
      </c>
      <c r="M27" s="11" t="e">
        <f>(H27/100)*I27</f>
        <v>#DIV/0!</v>
      </c>
      <c r="N27" t="b">
        <f>IF($G$46=1,IF(G27&gt;0,I27))</f>
        <v>0</v>
      </c>
    </row>
    <row r="28" spans="1:19" ht="15" thickBot="1" x14ac:dyDescent="0.35">
      <c r="A28" s="11"/>
      <c r="B28" s="11" t="s">
        <v>79</v>
      </c>
      <c r="C28" s="11" t="s">
        <v>12</v>
      </c>
      <c r="D28" s="11">
        <v>517.97</v>
      </c>
      <c r="E28" s="11">
        <v>0.99</v>
      </c>
      <c r="F28" s="11">
        <v>0.1</v>
      </c>
      <c r="G28" s="12"/>
      <c r="H28" s="29" t="e">
        <f t="shared" si="0"/>
        <v>#DIV/0!</v>
      </c>
      <c r="I28" s="11">
        <v>34.0809</v>
      </c>
      <c r="J28" s="11">
        <v>0</v>
      </c>
      <c r="K28" s="11">
        <v>12.0107</v>
      </c>
      <c r="L28" s="11" t="e">
        <f t="shared" ref="L28:L44" si="2">J28*(H28/100)*K28</f>
        <v>#DIV/0!</v>
      </c>
      <c r="M28" s="11" t="e">
        <f t="shared" si="1"/>
        <v>#DIV/0!</v>
      </c>
      <c r="N28" t="b">
        <f t="shared" ref="N28:N45" si="3">IF($G$46=1,IF(G28&gt;0,I28))</f>
        <v>0</v>
      </c>
    </row>
    <row r="29" spans="1:19" ht="15" thickBot="1" x14ac:dyDescent="0.35">
      <c r="A29" s="11"/>
      <c r="B29" s="11" t="s">
        <v>80</v>
      </c>
      <c r="C29" s="11" t="s">
        <v>8</v>
      </c>
      <c r="D29" s="11">
        <v>241.76</v>
      </c>
      <c r="E29" s="11">
        <v>1.0005999999999999</v>
      </c>
      <c r="F29" s="11">
        <v>5.1000000000000004E-3</v>
      </c>
      <c r="G29" s="12"/>
      <c r="H29" s="29" t="e">
        <f t="shared" si="0"/>
        <v>#DIV/0!</v>
      </c>
      <c r="I29" s="11">
        <f>1.0079*2</f>
        <v>2.0158</v>
      </c>
      <c r="J29" s="11">
        <v>0</v>
      </c>
      <c r="K29" s="11">
        <v>12.0107</v>
      </c>
      <c r="L29" s="11" t="e">
        <f t="shared" si="2"/>
        <v>#DIV/0!</v>
      </c>
      <c r="M29" s="11" t="e">
        <f t="shared" si="1"/>
        <v>#DIV/0!</v>
      </c>
      <c r="N29" t="b">
        <f t="shared" si="3"/>
        <v>0</v>
      </c>
    </row>
    <row r="30" spans="1:19" ht="15" thickBot="1" x14ac:dyDescent="0.35">
      <c r="A30" s="11"/>
      <c r="B30" s="11" t="s">
        <v>16</v>
      </c>
      <c r="C30" s="11" t="s">
        <v>18</v>
      </c>
      <c r="D30" s="11">
        <v>0</v>
      </c>
      <c r="E30" s="11">
        <v>1.0004999999999999</v>
      </c>
      <c r="F30" s="11">
        <v>0</v>
      </c>
      <c r="G30" s="12"/>
      <c r="H30" s="29" t="e">
        <f t="shared" si="0"/>
        <v>#DIV/0!</v>
      </c>
      <c r="I30" s="11">
        <v>4.0026000000000002</v>
      </c>
      <c r="J30" s="11">
        <v>0</v>
      </c>
      <c r="K30" s="11">
        <v>12.0107</v>
      </c>
      <c r="L30" s="11" t="e">
        <f t="shared" si="2"/>
        <v>#DIV/0!</v>
      </c>
      <c r="M30" s="11" t="e">
        <f t="shared" si="1"/>
        <v>#DIV/0!</v>
      </c>
      <c r="N30" t="b">
        <f t="shared" si="3"/>
        <v>0</v>
      </c>
    </row>
    <row r="31" spans="1:19" ht="15" thickBot="1" x14ac:dyDescent="0.35">
      <c r="A31" s="11"/>
      <c r="B31" s="11" t="s">
        <v>17</v>
      </c>
      <c r="C31" s="11" t="s">
        <v>19</v>
      </c>
      <c r="D31" s="11">
        <v>0</v>
      </c>
      <c r="E31" s="11">
        <v>0.99929999999999997</v>
      </c>
      <c r="F31" s="11">
        <v>2.6499999999999999E-2</v>
      </c>
      <c r="G31" s="12"/>
      <c r="H31" s="29" t="e">
        <f t="shared" si="0"/>
        <v>#DIV/0!</v>
      </c>
      <c r="I31" s="11">
        <v>39.948</v>
      </c>
      <c r="J31" s="11">
        <v>0</v>
      </c>
      <c r="K31" s="11">
        <v>12.0107</v>
      </c>
      <c r="L31" s="11" t="e">
        <f t="shared" si="2"/>
        <v>#DIV/0!</v>
      </c>
      <c r="M31" s="11" t="e">
        <f t="shared" si="1"/>
        <v>#DIV/0!</v>
      </c>
      <c r="N31" t="b">
        <f t="shared" si="3"/>
        <v>0</v>
      </c>
    </row>
    <row r="32" spans="1:19" ht="15" thickBot="1" x14ac:dyDescent="0.35">
      <c r="A32" s="11"/>
      <c r="B32" s="11" t="s">
        <v>81</v>
      </c>
      <c r="C32" s="11" t="s">
        <v>7</v>
      </c>
      <c r="D32" s="11">
        <v>282.95</v>
      </c>
      <c r="E32" s="11">
        <v>0.99960000000000004</v>
      </c>
      <c r="F32" s="11">
        <v>0.02</v>
      </c>
      <c r="G32" s="12"/>
      <c r="H32" s="29" t="e">
        <f t="shared" si="0"/>
        <v>#DIV/0!</v>
      </c>
      <c r="I32" s="11">
        <v>28.010100000000001</v>
      </c>
      <c r="J32" s="11">
        <v>1</v>
      </c>
      <c r="K32" s="11">
        <v>12.0107</v>
      </c>
      <c r="L32" s="11" t="e">
        <f t="shared" si="2"/>
        <v>#DIV/0!</v>
      </c>
      <c r="M32" s="11" t="e">
        <f t="shared" si="1"/>
        <v>#DIV/0!</v>
      </c>
      <c r="N32" t="b">
        <f t="shared" si="3"/>
        <v>0</v>
      </c>
    </row>
    <row r="33" spans="1:14" ht="15" thickBot="1" x14ac:dyDescent="0.35">
      <c r="A33" s="11"/>
      <c r="B33" s="11" t="s">
        <v>2</v>
      </c>
      <c r="C33" s="11" t="s">
        <v>13</v>
      </c>
      <c r="D33" s="11">
        <v>802.65</v>
      </c>
      <c r="E33" s="11">
        <v>0.99809999999999999</v>
      </c>
      <c r="F33" s="11">
        <v>4.36E-2</v>
      </c>
      <c r="G33" s="12"/>
      <c r="H33" s="29" t="e">
        <f t="shared" si="0"/>
        <v>#DIV/0!</v>
      </c>
      <c r="I33" s="11">
        <v>16.0425</v>
      </c>
      <c r="J33" s="11">
        <v>1</v>
      </c>
      <c r="K33" s="11">
        <v>12.0107</v>
      </c>
      <c r="L33" s="11" t="e">
        <f t="shared" si="2"/>
        <v>#DIV/0!</v>
      </c>
      <c r="M33" s="11" t="e">
        <f>(H33/100)*I33</f>
        <v>#DIV/0!</v>
      </c>
      <c r="N33" t="b">
        <f t="shared" si="3"/>
        <v>0</v>
      </c>
    </row>
    <row r="34" spans="1:14" ht="15" thickBot="1" x14ac:dyDescent="0.35">
      <c r="A34" s="11"/>
      <c r="B34" s="11" t="s">
        <v>3</v>
      </c>
      <c r="C34" s="11" t="s">
        <v>15</v>
      </c>
      <c r="D34" s="11">
        <v>1428.74</v>
      </c>
      <c r="E34" s="11">
        <v>0.99199999999999999</v>
      </c>
      <c r="F34" s="11">
        <v>8.9399999999999993E-2</v>
      </c>
      <c r="G34" s="12"/>
      <c r="H34" s="29" t="e">
        <f t="shared" si="0"/>
        <v>#DIV/0!</v>
      </c>
      <c r="I34" s="11">
        <v>30.068999999999999</v>
      </c>
      <c r="J34" s="11">
        <v>2</v>
      </c>
      <c r="K34" s="11">
        <v>12.0107</v>
      </c>
      <c r="L34" s="11" t="e">
        <f t="shared" si="2"/>
        <v>#DIV/0!</v>
      </c>
      <c r="M34" s="11" t="e">
        <f>(H34/100)*I34</f>
        <v>#DIV/0!</v>
      </c>
      <c r="N34" t="b">
        <f t="shared" si="3"/>
        <v>0</v>
      </c>
    </row>
    <row r="35" spans="1:14" ht="15" thickBot="1" x14ac:dyDescent="0.35">
      <c r="A35" s="11"/>
      <c r="B35" s="11" t="s">
        <v>4</v>
      </c>
      <c r="C35" s="11" t="s">
        <v>14</v>
      </c>
      <c r="D35" s="11">
        <v>2043.23</v>
      </c>
      <c r="E35" s="11">
        <v>0.98340000000000005</v>
      </c>
      <c r="F35" s="11">
        <v>0.1288</v>
      </c>
      <c r="G35" s="26"/>
      <c r="H35" s="29" t="e">
        <f t="shared" si="0"/>
        <v>#DIV/0!</v>
      </c>
      <c r="I35" s="11">
        <v>44.095599999999997</v>
      </c>
      <c r="J35" s="11">
        <v>3</v>
      </c>
      <c r="K35" s="11">
        <v>12.0107</v>
      </c>
      <c r="L35" s="11" t="e">
        <f t="shared" si="2"/>
        <v>#DIV/0!</v>
      </c>
      <c r="M35" s="11" t="e">
        <f t="shared" si="1"/>
        <v>#DIV/0!</v>
      </c>
      <c r="N35" t="b">
        <f t="shared" si="3"/>
        <v>0</v>
      </c>
    </row>
    <row r="36" spans="1:14" ht="15" thickBot="1" x14ac:dyDescent="0.35">
      <c r="A36" s="11"/>
      <c r="B36" s="11" t="s">
        <v>82</v>
      </c>
      <c r="C36" s="11" t="s">
        <v>27</v>
      </c>
      <c r="D36" s="11">
        <v>2657.45</v>
      </c>
      <c r="E36" s="11">
        <v>0.96819999999999995</v>
      </c>
      <c r="F36" s="11">
        <v>0.17829999999999999</v>
      </c>
      <c r="G36" s="12"/>
      <c r="H36" s="29" t="e">
        <f t="shared" si="0"/>
        <v>#DIV/0!</v>
      </c>
      <c r="I36" s="11">
        <v>58.122199999999999</v>
      </c>
      <c r="J36" s="11">
        <v>4</v>
      </c>
      <c r="K36" s="11">
        <v>12.0107</v>
      </c>
      <c r="L36" s="11" t="e">
        <f t="shared" si="2"/>
        <v>#DIV/0!</v>
      </c>
      <c r="M36" s="11" t="e">
        <f t="shared" ref="M36:M45" si="4">(H36/100)*I36</f>
        <v>#DIV/0!</v>
      </c>
      <c r="N36" t="b">
        <f t="shared" si="3"/>
        <v>0</v>
      </c>
    </row>
    <row r="37" spans="1:14" ht="15" thickBot="1" x14ac:dyDescent="0.35">
      <c r="A37" s="11"/>
      <c r="B37" s="11" t="s">
        <v>20</v>
      </c>
      <c r="C37" s="11" t="s">
        <v>28</v>
      </c>
      <c r="D37" s="11">
        <v>2657.45</v>
      </c>
      <c r="E37" s="11">
        <v>0.96819999999999995</v>
      </c>
      <c r="F37" s="11">
        <v>0.17829999999999999</v>
      </c>
      <c r="G37" s="12"/>
      <c r="H37" s="29" t="e">
        <f t="shared" si="0"/>
        <v>#DIV/0!</v>
      </c>
      <c r="I37" s="11">
        <v>58.122199999999999</v>
      </c>
      <c r="J37" s="11">
        <v>4</v>
      </c>
      <c r="K37" s="11">
        <v>12.0107</v>
      </c>
      <c r="L37" s="11" t="e">
        <f t="shared" si="2"/>
        <v>#DIV/0!</v>
      </c>
      <c r="M37" s="11" t="e">
        <f t="shared" si="4"/>
        <v>#DIV/0!</v>
      </c>
      <c r="N37" t="b">
        <f t="shared" si="3"/>
        <v>0</v>
      </c>
    </row>
    <row r="38" spans="1:14" ht="15" thickBot="1" x14ac:dyDescent="0.35">
      <c r="A38" s="11"/>
      <c r="B38" s="11" t="s">
        <v>83</v>
      </c>
      <c r="C38" s="11" t="s">
        <v>29</v>
      </c>
      <c r="D38" s="11">
        <v>3271.83</v>
      </c>
      <c r="E38" s="11">
        <v>0.94499999999999995</v>
      </c>
      <c r="F38" s="11">
        <v>0.23449999999999999</v>
      </c>
      <c r="G38" s="12"/>
      <c r="H38" s="29" t="e">
        <f t="shared" si="0"/>
        <v>#DIV/0!</v>
      </c>
      <c r="I38" s="11">
        <v>72.148799999999994</v>
      </c>
      <c r="J38" s="11">
        <v>5</v>
      </c>
      <c r="K38" s="11">
        <v>12.0107</v>
      </c>
      <c r="L38" s="11" t="e">
        <f t="shared" si="2"/>
        <v>#DIV/0!</v>
      </c>
      <c r="M38" s="11" t="e">
        <f t="shared" si="4"/>
        <v>#DIV/0!</v>
      </c>
      <c r="N38" t="b">
        <f t="shared" si="3"/>
        <v>0</v>
      </c>
    </row>
    <row r="39" spans="1:14" ht="15" thickBot="1" x14ac:dyDescent="0.35">
      <c r="A39" s="11"/>
      <c r="B39" s="11" t="s">
        <v>22</v>
      </c>
      <c r="C39" s="11" t="s">
        <v>30</v>
      </c>
      <c r="D39" s="11">
        <v>3271.83</v>
      </c>
      <c r="E39" s="11">
        <v>0.94499999999999995</v>
      </c>
      <c r="F39" s="11">
        <v>0.23449999999999999</v>
      </c>
      <c r="G39" s="12"/>
      <c r="H39" s="29" t="e">
        <f t="shared" si="0"/>
        <v>#DIV/0!</v>
      </c>
      <c r="I39" s="11">
        <v>72.148799999999994</v>
      </c>
      <c r="J39" s="11">
        <v>5</v>
      </c>
      <c r="K39" s="11">
        <v>12.0107</v>
      </c>
      <c r="L39" s="11" t="e">
        <f t="shared" si="2"/>
        <v>#DIV/0!</v>
      </c>
      <c r="M39" s="11" t="e">
        <f t="shared" si="4"/>
        <v>#DIV/0!</v>
      </c>
      <c r="N39" t="b">
        <f t="shared" si="3"/>
        <v>0</v>
      </c>
    </row>
    <row r="40" spans="1:14" ht="15" thickBot="1" x14ac:dyDescent="0.35">
      <c r="A40" s="11"/>
      <c r="B40" s="11" t="s">
        <v>21</v>
      </c>
      <c r="C40" s="11" t="s">
        <v>31</v>
      </c>
      <c r="D40" s="11">
        <v>3887.01</v>
      </c>
      <c r="E40" s="11">
        <v>0.91900000000000004</v>
      </c>
      <c r="F40" s="11">
        <v>0.28460000000000002</v>
      </c>
      <c r="G40" s="12"/>
      <c r="H40" s="29" t="e">
        <f t="shared" si="0"/>
        <v>#DIV/0!</v>
      </c>
      <c r="I40" s="11">
        <v>86.175399999999996</v>
      </c>
      <c r="J40" s="11">
        <v>6</v>
      </c>
      <c r="K40" s="11">
        <v>12.0107</v>
      </c>
      <c r="L40" s="11" t="e">
        <f t="shared" si="2"/>
        <v>#DIV/0!</v>
      </c>
      <c r="M40" s="11" t="e">
        <f t="shared" si="4"/>
        <v>#DIV/0!</v>
      </c>
      <c r="N40" t="b">
        <f t="shared" si="3"/>
        <v>0</v>
      </c>
    </row>
    <row r="41" spans="1:14" ht="15" thickBot="1" x14ac:dyDescent="0.35">
      <c r="A41" s="11"/>
      <c r="B41" s="11" t="s">
        <v>23</v>
      </c>
      <c r="C41" s="11" t="s">
        <v>32</v>
      </c>
      <c r="D41" s="11">
        <v>4501.49</v>
      </c>
      <c r="E41" s="11">
        <v>0.876</v>
      </c>
      <c r="F41" s="11">
        <v>0.35210000000000002</v>
      </c>
      <c r="G41" s="12"/>
      <c r="H41" s="29" t="e">
        <f t="shared" si="0"/>
        <v>#DIV/0!</v>
      </c>
      <c r="I41" s="11">
        <v>100.20189999999999</v>
      </c>
      <c r="J41" s="11">
        <v>7</v>
      </c>
      <c r="K41" s="11">
        <v>12.0107</v>
      </c>
      <c r="L41" s="11" t="e">
        <f t="shared" si="2"/>
        <v>#DIV/0!</v>
      </c>
      <c r="M41" s="11" t="e">
        <f>(H41/100)*I41</f>
        <v>#DIV/0!</v>
      </c>
      <c r="N41" t="b">
        <f t="shared" si="3"/>
        <v>0</v>
      </c>
    </row>
    <row r="42" spans="1:14" ht="15" thickBot="1" x14ac:dyDescent="0.35">
      <c r="A42" s="11"/>
      <c r="B42" s="11" t="s">
        <v>24</v>
      </c>
      <c r="C42" s="11" t="s">
        <v>33</v>
      </c>
      <c r="D42" s="11">
        <v>5115.87</v>
      </c>
      <c r="E42" s="11">
        <v>0.81699999999999995</v>
      </c>
      <c r="F42" s="11">
        <v>0.42780000000000001</v>
      </c>
      <c r="G42" s="12"/>
      <c r="H42" s="29" t="e">
        <f t="shared" si="0"/>
        <v>#DIV/0!</v>
      </c>
      <c r="I42" s="11">
        <v>114.2285</v>
      </c>
      <c r="J42" s="11">
        <v>8</v>
      </c>
      <c r="K42" s="11">
        <v>12.0107</v>
      </c>
      <c r="L42" s="11" t="e">
        <f t="shared" si="2"/>
        <v>#DIV/0!</v>
      </c>
      <c r="M42" s="11" t="e">
        <f t="shared" si="4"/>
        <v>#DIV/0!</v>
      </c>
      <c r="N42" t="b">
        <f t="shared" si="3"/>
        <v>0</v>
      </c>
    </row>
    <row r="43" spans="1:14" ht="15" thickBot="1" x14ac:dyDescent="0.35">
      <c r="A43" s="11"/>
      <c r="B43" s="11" t="s">
        <v>25</v>
      </c>
      <c r="C43" s="11" t="s">
        <v>34</v>
      </c>
      <c r="D43" s="11">
        <v>5731.22</v>
      </c>
      <c r="E43" s="11">
        <v>0.73499999999999999</v>
      </c>
      <c r="F43" s="11">
        <v>0.51480000000000004</v>
      </c>
      <c r="G43" s="12"/>
      <c r="H43" s="29" t="e">
        <f t="shared" si="0"/>
        <v>#DIV/0!</v>
      </c>
      <c r="I43" s="11">
        <v>128.2551</v>
      </c>
      <c r="J43" s="11">
        <v>9</v>
      </c>
      <c r="K43" s="11">
        <v>12.0107</v>
      </c>
      <c r="L43" s="11" t="e">
        <f t="shared" si="2"/>
        <v>#DIV/0!</v>
      </c>
      <c r="M43" s="11" t="e">
        <f t="shared" si="4"/>
        <v>#DIV/0!</v>
      </c>
      <c r="N43" t="b">
        <f t="shared" si="3"/>
        <v>0</v>
      </c>
    </row>
    <row r="44" spans="1:14" ht="15" thickBot="1" x14ac:dyDescent="0.35">
      <c r="A44" s="11"/>
      <c r="B44" s="11" t="s">
        <v>26</v>
      </c>
      <c r="C44" s="11" t="s">
        <v>35</v>
      </c>
      <c r="D44" s="11">
        <v>6345.85</v>
      </c>
      <c r="E44" s="11">
        <v>0.623</v>
      </c>
      <c r="F44" s="11">
        <v>0.61399999999999999</v>
      </c>
      <c r="G44" s="12"/>
      <c r="H44" s="29" t="e">
        <f t="shared" si="0"/>
        <v>#DIV/0!</v>
      </c>
      <c r="I44" s="11">
        <v>142.2817</v>
      </c>
      <c r="J44" s="11">
        <v>10</v>
      </c>
      <c r="K44" s="11">
        <v>12.0107</v>
      </c>
      <c r="L44" s="11" t="e">
        <f t="shared" si="2"/>
        <v>#DIV/0!</v>
      </c>
      <c r="M44" s="11" t="e">
        <f t="shared" si="4"/>
        <v>#DIV/0!</v>
      </c>
      <c r="N44" t="b">
        <f t="shared" si="3"/>
        <v>0</v>
      </c>
    </row>
    <row r="45" spans="1:14" ht="27.6" thickBot="1" x14ac:dyDescent="0.35">
      <c r="A45" s="11"/>
      <c r="B45" s="13" t="s">
        <v>84</v>
      </c>
      <c r="C45" s="11" t="s">
        <v>15</v>
      </c>
      <c r="D45" s="11">
        <v>1428.74</v>
      </c>
      <c r="E45" s="11">
        <v>0.99199999999999999</v>
      </c>
      <c r="F45" s="11">
        <v>8.9399999999999993E-2</v>
      </c>
      <c r="G45" s="12"/>
      <c r="H45" s="29" t="e">
        <f t="shared" si="0"/>
        <v>#DIV/0!</v>
      </c>
      <c r="I45" s="11">
        <v>30.068999999999999</v>
      </c>
      <c r="J45" s="11">
        <v>2</v>
      </c>
      <c r="K45" s="11">
        <v>12.0107</v>
      </c>
      <c r="L45" s="11" t="e">
        <f>J45*(H45/100)*K45</f>
        <v>#DIV/0!</v>
      </c>
      <c r="M45" s="11" t="e">
        <f t="shared" si="4"/>
        <v>#DIV/0!</v>
      </c>
      <c r="N45" t="b">
        <f t="shared" si="3"/>
        <v>0</v>
      </c>
    </row>
    <row r="46" spans="1:14" ht="14.4" x14ac:dyDescent="0.3">
      <c r="A46" s="11"/>
      <c r="B46" s="11" t="s">
        <v>76</v>
      </c>
      <c r="C46" s="11"/>
      <c r="D46" s="11"/>
      <c r="E46" s="11"/>
      <c r="F46" s="11"/>
      <c r="G46" s="11">
        <f>SUM(G25:G45)</f>
        <v>0</v>
      </c>
      <c r="H46" s="11"/>
      <c r="I46" s="11"/>
      <c r="J46" s="11"/>
      <c r="K46" s="11"/>
      <c r="L46" s="14" t="e">
        <f>SUM(L25:L45)</f>
        <v>#DIV/0!</v>
      </c>
      <c r="M46" s="14" t="e">
        <f>SUM(M25:M45)</f>
        <v>#DIV/0!</v>
      </c>
      <c r="N46">
        <f>SUM(N25:N45)</f>
        <v>0</v>
      </c>
    </row>
    <row r="47" spans="1:14" ht="26.4" x14ac:dyDescent="0.25">
      <c r="C47" s="1" t="s">
        <v>85</v>
      </c>
      <c r="D47" s="1"/>
      <c r="E47" s="1"/>
      <c r="F47" s="1"/>
      <c r="G47">
        <f>IF(SUM(G25:G45)&gt;1,"ОШИБКА, проверить компонентный состав. Сумма компонентдолжна быть равна 1",SUM(G25:G45))</f>
        <v>0</v>
      </c>
      <c r="H47" s="24" t="e">
        <f>IF(SUM(H25+H26+H27+H28+H29+H30+H31+H32+H33+H34+H35+H36+H37+H38+H40+H41+H42+H43+H44+H45)&gt;100,"ОШИБКА, проверить компонентный состав. Сумма компонентдолжна быть равна 1",SUM(H25:H45))</f>
        <v>#DIV/0!</v>
      </c>
    </row>
    <row r="49" spans="1:9" x14ac:dyDescent="0.25">
      <c r="A49" t="s">
        <v>38</v>
      </c>
      <c r="B49" s="1" t="s">
        <v>86</v>
      </c>
      <c r="C49" t="e">
        <f>L46/M46</f>
        <v>#DIV/0!</v>
      </c>
    </row>
    <row r="50" spans="1:9" ht="13.8" thickBot="1" x14ac:dyDescent="0.3">
      <c r="A50" t="s">
        <v>39</v>
      </c>
      <c r="B50" s="1" t="s">
        <v>87</v>
      </c>
      <c r="C50" t="e">
        <f>C49*C20</f>
        <v>#DIV/0!</v>
      </c>
    </row>
    <row r="51" spans="1:9" ht="15" thickBot="1" x14ac:dyDescent="0.35">
      <c r="A51" t="s">
        <v>40</v>
      </c>
      <c r="B51" s="1" t="s">
        <v>88</v>
      </c>
      <c r="C51" s="20">
        <v>1</v>
      </c>
    </row>
    <row r="52" spans="1:9" ht="27" x14ac:dyDescent="0.3">
      <c r="A52" t="s">
        <v>41</v>
      </c>
      <c r="B52" s="1" t="s">
        <v>89</v>
      </c>
      <c r="C52" s="21" t="e">
        <f>(C51*C50*44.0095/12.0107)</f>
        <v>#DIV/0!</v>
      </c>
    </row>
    <row r="53" spans="1:9" ht="27" x14ac:dyDescent="0.3">
      <c r="A53" t="s">
        <v>42</v>
      </c>
      <c r="B53" s="1" t="s">
        <v>90</v>
      </c>
      <c r="C53" s="22" t="e">
        <f>C52/C20</f>
        <v>#DIV/0!</v>
      </c>
    </row>
    <row r="54" spans="1:9" x14ac:dyDescent="0.25">
      <c r="B54" s="1"/>
    </row>
    <row r="55" spans="1:9" ht="26.4" x14ac:dyDescent="0.25">
      <c r="A55" t="s">
        <v>44</v>
      </c>
      <c r="B55" s="1" t="s">
        <v>91</v>
      </c>
      <c r="C55" t="e">
        <f>SUMPRODUCT(D25:D45,H25:H45)</f>
        <v>#DIV/0!</v>
      </c>
    </row>
    <row r="56" spans="1:9" ht="26.4" x14ac:dyDescent="0.25">
      <c r="A56" t="s">
        <v>45</v>
      </c>
      <c r="B56" s="1" t="s">
        <v>92</v>
      </c>
      <c r="C56" s="24" t="e">
        <f>C55*(101.325/(8.31451*293.15))</f>
        <v>#DIV/0!</v>
      </c>
    </row>
    <row r="57" spans="1:9" x14ac:dyDescent="0.25">
      <c r="B57" s="1"/>
    </row>
    <row r="58" spans="1:9" ht="26.4" x14ac:dyDescent="0.25">
      <c r="A58" t="s">
        <v>46</v>
      </c>
      <c r="B58" s="1" t="s">
        <v>93</v>
      </c>
      <c r="C58" t="e">
        <f>1-((SUMPRODUCT(F25:F45,H25:H45)^2))</f>
        <v>#DIV/0!</v>
      </c>
      <c r="I58">
        <v>2</v>
      </c>
    </row>
    <row r="59" spans="1:9" ht="26.4" x14ac:dyDescent="0.25">
      <c r="A59" t="s">
        <v>47</v>
      </c>
      <c r="B59" s="1" t="s">
        <v>94</v>
      </c>
      <c r="C59" s="23"/>
    </row>
    <row r="60" spans="1:9" ht="27" x14ac:dyDescent="0.3">
      <c r="A60" t="s">
        <v>52</v>
      </c>
      <c r="B60" s="1" t="s">
        <v>95</v>
      </c>
      <c r="C60" s="28" t="e">
        <f>C52/(C59/1000)</f>
        <v>#DIV/0!</v>
      </c>
      <c r="D60" s="27"/>
    </row>
  </sheetData>
  <phoneticPr fontId="0" type="noConversion"/>
  <conditionalFormatting sqref="G47:H47">
    <cfRule type="expression" priority="1" stopIfTrue="1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9" scale="43" orientation="landscape" horizontalDpi="300" verticalDpi="300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EF</vt:lpstr>
    </vt:vector>
  </TitlesOfParts>
  <Company>SHNOS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Камзабек Елхан Диханулы</cp:lastModifiedBy>
  <cp:lastPrinted>2013-06-10T12:08:43Z</cp:lastPrinted>
  <dcterms:created xsi:type="dcterms:W3CDTF">2002-04-03T04:41:10Z</dcterms:created>
  <dcterms:modified xsi:type="dcterms:W3CDTF">2025-04-07T07:23:12Z</dcterms:modified>
</cp:coreProperties>
</file>